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<sst xmlns="http://schemas.openxmlformats.org/spreadsheetml/2006/main" count="195" uniqueCount="193">
  <si>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</si>
  <si>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</si>
  <si>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</si>
  <si>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</si>
  <si>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</si>
  <si>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</si>
  <si>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</si>
  <si>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</si>
  <si>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</si>
  <si>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</si>
  <si>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</si>
  <si>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</si>
  <si>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</si>
  <si>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</si>
  <si>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</si>
  <si>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</si>
  <si>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</si>
  <si>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</si>
  <si>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</si>
  <si>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</si>
  <si>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</si>
  <si>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</si>
  <si>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</si>
  <si>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</si>
  <si>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</si>
  <si>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</si>
  <si>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</si>
  <si>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</si>
  <si>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</si>
  <si>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</si>
  <si>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</si>
  <si>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</si>
  <si>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</si>
  <si>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</si>
  <si>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</si>
  <si>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</si>
  <si>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</si>
  <si>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</si>
  <si>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</si>
  <si>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</si>
  <si>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</si>
  <si>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</si>
  <si>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</si>
  <si>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</si>
  <si>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</si>
  <si>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</si>
  <si>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</si>
  <si>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</si>
  <si>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</si>
  <si>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</si>
  <si>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</si>
  <si>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</si>
  <si>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</si>
  <si>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</si>
  <si>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</si>
  <si>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</si>
  <si>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</si>
  <si>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</si>
  <si>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</si>
  <si>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</si>
  <si>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</si>
  <si>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</si>
  <si>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</si>
  <si>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</si>
  <si>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</si>
  <si>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</si>
  <si>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</si>
  <si>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</si>
  <si>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</si>
  <si>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</si>
  <si>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</si>
  <si>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</si>
  <si>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</si>
  <si>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</si>
  <si>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</si>
  <si>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</si>
  <si>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</si>
  <si>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</si>
  <si>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</si>
  <si>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</si>
  <si>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</si>
  <si>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</si>
  <si>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</si>
  <si>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</si>
  <si>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</si>
  <si>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</si>
  <si>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</si>
  <si>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</si>
  <si>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</si>
  <si>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</si>
  <si>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</si>
  <si>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</si>
  <si>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</si>
  <si>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</si>
  <si>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</si>
  <si>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</si>
  <si>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</si>
  <si>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</si>
  <si>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</si>
  <si>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</si>
  <si>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</si>
  <si>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</si>
  <si>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</si>
  <si>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</si>
  <si>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</si>
  <si>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</si>
  <si>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</si>
  <si>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</si>
  <si>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</si>
  <si>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</si>
  <si>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</si>
  <si>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</si>
  <si>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</si>
  <si>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</si>
  <si>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</si>
  <si>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</si>
  <si>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</si>
  <si>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</si>
  <si>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</si>
  <si>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</si>
  <si>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</si>
  <si>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</si>
  <si>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</si>
  <si>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</si>
  <si>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</si>
  <si>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</si>
  <si>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</si>
  <si>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</si>
  <si>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</si>
  <si>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</si>
  <si>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</si>
  <si>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</si>
  <si>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</si>
  <si>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</si>
  <si>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</si>
  <si>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</si>
  <si>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</si>
  <si>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</si>
  <si>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</si>
  <si>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</si>
  <si>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</si>
  <si>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</si>
  <si>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</si>
  <si>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</si>
  <si>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</si>
  <si>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</si>
  <si>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</si>
  <si>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</si>
  <si>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</si>
  <si>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</si>
  <si>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</si>
  <si>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</si>
  <si>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</si>
  <si>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</si>
  <si>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</si>
  <si>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</si>
  <si>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</si>
  <si>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</si>
  <si>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</si>
  <si>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</si>
  <si>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</si>
  <si>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</si>
  <si>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</si>
  <si>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</si>
  <si>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</si>
  <si>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</si>
  <si>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</si>
  <si>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</si>
  <si>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</si>
  <si>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</si>
  <si>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</si>
  <si>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</si>
  <si>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</si>
  <si>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</si>
  <si>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</si>
  <si>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</si>
  <si>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</si>
  <si>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</si>
  <si>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</si>
  <si>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</si>
  <si>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</si>
  <si>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</si>
  <si>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</si>
  <si>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</si>
  <si>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</si>
  <si>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</si>
  <si>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</si>
  <si>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</si>
  <si>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</si>
  <si>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Відсоток виконання до плану 4 місяців</t>
  </si>
  <si>
    <t>Залишок призначень до плану 4 місяців</t>
  </si>
  <si>
    <t>Профінансовано станом на 20.04.17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</si>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</sst>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T15" sqref="AT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0" width="0" style="6" hidden="1" customWidth="1"/>
    <col min="31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4" t="s">
        <v>22</v>
      </c>
      <c r="J5" s="84" t="s">
        <v>189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91" t="s">
        <v>190</v>
      </c>
      <c r="M6" s="84" t="s">
        <v>28</v>
      </c>
      <c r="N6" s="86" t="s">
        <v>29</v>
      </c>
      <c r="O6" s="84" t="s">
        <v>30</v>
      </c>
      <c r="P6" s="84" t="s">
        <v>31</v>
      </c>
      <c r="Q6" s="84" t="s">
        <v>32</v>
      </c>
      <c r="R6" s="84" t="s">
        <v>33</v>
      </c>
      <c r="S6" s="84" t="s">
        <v>34</v>
      </c>
      <c r="T6" s="84" t="s">
        <v>35</v>
      </c>
      <c r="U6" s="84" t="s">
        <v>36</v>
      </c>
      <c r="V6" s="84" t="s">
        <v>37</v>
      </c>
      <c r="W6" s="84" t="s">
        <v>38</v>
      </c>
      <c r="X6" s="84" t="s">
        <v>39</v>
      </c>
      <c r="Y6" s="8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2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88" t="s">
        <v>24</v>
      </c>
      <c r="B8" s="89"/>
      <c r="C8" s="89"/>
      <c r="D8" s="89"/>
      <c r="E8" s="89"/>
      <c r="F8" s="89"/>
      <c r="G8" s="89"/>
      <c r="H8" s="89"/>
      <c r="I8" s="89"/>
      <c r="J8" s="90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30720649.089999996</v>
      </c>
      <c r="I9" s="40">
        <f aca="true" t="shared" si="0" ref="I9:I25">H9/D9*100</f>
        <v>20.47249936019793</v>
      </c>
      <c r="J9" s="46">
        <f>H9/(M9+N9+O9+N26+O26+P9+P26)*100</f>
        <v>71.60295317697837</v>
      </c>
      <c r="K9" s="37"/>
      <c r="L9" s="73">
        <f>H10-(M9+N9+O9+P9)</f>
        <v>-7132015.83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4574000</v>
      </c>
      <c r="Q9" s="47">
        <f aca="true" t="shared" si="1" ref="Q9:X9">Q10+Q18</f>
        <v>7450000</v>
      </c>
      <c r="R9" s="47">
        <f t="shared" si="1"/>
        <v>8800000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5323600</v>
      </c>
      <c r="W9" s="47">
        <f t="shared" si="1"/>
        <v>3700000</v>
      </c>
      <c r="X9" s="47">
        <f t="shared" si="1"/>
        <v>7637400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12591389.049999999</v>
      </c>
      <c r="I10" s="41">
        <f t="shared" si="0"/>
        <v>19.189217809409147</v>
      </c>
      <c r="J10" s="48">
        <f>H10/(M9+N9+O9+P9)*100</f>
        <v>63.839834585396396</v>
      </c>
      <c r="L10" s="73">
        <f>(H11+H13+H14+H15+H16+H17)-(M10+N10+O10+P10)</f>
        <v>-6029593.57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</f>
        <v>1494212</v>
      </c>
      <c r="Q10" s="24">
        <f>6870000+330000-1000000</f>
        <v>6200000</v>
      </c>
      <c r="R10" s="24">
        <f>6870000+210000+120000</f>
        <v>7200000</v>
      </c>
      <c r="S10" s="24">
        <f>2350000</f>
        <v>2350000</v>
      </c>
      <c r="T10" s="24">
        <f>2350000+281395.12+300000+268808</f>
        <v>3200203.12</v>
      </c>
      <c r="U10" s="24">
        <f>2350000+408828</f>
        <v>2758828</v>
      </c>
      <c r="V10" s="24">
        <f>2350000+500000+533039+1073600</f>
        <v>4456639</v>
      </c>
      <c r="W10" s="24">
        <f>1900000+608828+700000</f>
        <v>3208828</v>
      </c>
      <c r="X10" s="24">
        <f>4750000+100000+85000+260285+2047400</f>
        <v>7242685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81">
        <f>(H11+H13+H14+H15+H16+H17)/(M10+N10+O10+P10)*100</f>
        <v>59.651042860515304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</f>
        <v>751999.3499999999</v>
      </c>
      <c r="I14" s="42">
        <f t="shared" si="0"/>
        <v>18.218203635116197</v>
      </c>
      <c r="J14" s="82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82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2189034.6+2579721.35+237682.01+68555.5+69152.5</f>
        <v>5144145.96</v>
      </c>
      <c r="I17" s="42">
        <f t="shared" si="0"/>
        <v>21.12379316713957</v>
      </c>
      <c r="J17" s="83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3677365.7399999998</v>
      </c>
      <c r="I18" s="42">
        <f t="shared" si="0"/>
        <v>26.161876894181923</v>
      </c>
      <c r="J18" s="81">
        <f>H18/(M18+N18+O18+P18)*100</f>
        <v>76.93574987007791</v>
      </c>
      <c r="L18" s="73">
        <f>H18-(M18+N18+O18+P18)</f>
        <v>-1102422.2600000002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</f>
        <v>1119840.2599999998</v>
      </c>
      <c r="I19" s="42">
        <f t="shared" si="0"/>
        <v>33.72468360529745</v>
      </c>
      <c r="J19" s="82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82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2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</f>
        <v>375700</v>
      </c>
      <c r="I22" s="42">
        <f t="shared" si="0"/>
        <v>33.772304373230256</v>
      </c>
      <c r="J22" s="82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2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2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</f>
        <v>870459.4700000001</v>
      </c>
      <c r="I25" s="42">
        <f t="shared" si="0"/>
        <v>56.02443371173847</v>
      </c>
      <c r="J25" s="83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18129260.04</v>
      </c>
      <c r="I26" s="22">
        <f>H26/D26*100</f>
        <v>21.469704022306573</v>
      </c>
      <c r="J26" s="22">
        <f>H26/(N26+O26+P26)*100</f>
        <v>78.20822112821149</v>
      </c>
      <c r="L26" s="73">
        <f>H26-(M26+N26+O26+P26)</f>
        <v>-5051499.960000001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-119000</v>
      </c>
      <c r="M68" s="71"/>
      <c r="N68" s="71"/>
      <c r="O68" s="71">
        <v>1320000</v>
      </c>
      <c r="P68" s="71">
        <f>-1201000</f>
        <v>-1201000</v>
      </c>
      <c r="Q68" s="71"/>
      <c r="R68" s="71">
        <v>330000</v>
      </c>
      <c r="S68" s="71"/>
      <c r="T68" s="71">
        <f>900000</f>
        <v>900000</v>
      </c>
      <c r="U68" s="71"/>
      <c r="V68" s="71"/>
      <c r="W68" s="71">
        <f>301000</f>
        <v>301000</v>
      </c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67">
        <f>32000+25000+400000</f>
        <v>457000</v>
      </c>
      <c r="I102" s="42">
        <f t="shared" si="14"/>
        <v>59.58279009126467</v>
      </c>
      <c r="J102" s="63">
        <f t="shared" si="15"/>
        <v>95.8674218586113</v>
      </c>
      <c r="L102" s="73">
        <f t="shared" si="16"/>
        <v>-19700</v>
      </c>
      <c r="M102" s="71"/>
      <c r="N102" s="71"/>
      <c r="O102" s="71">
        <v>76700</v>
      </c>
      <c r="P102" s="71">
        <f>400000</f>
        <v>400000</v>
      </c>
      <c r="Q102" s="71"/>
      <c r="R102" s="71"/>
      <c r="S102" s="71"/>
      <c r="T102" s="71"/>
      <c r="U102" s="71">
        <f>536900-400000</f>
        <v>136900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67">
        <f>28000+20000+360000</f>
        <v>408000</v>
      </c>
      <c r="I103" s="42">
        <f t="shared" si="14"/>
        <v>41.67517875383044</v>
      </c>
      <c r="J103" s="63">
        <f t="shared" si="15"/>
        <v>89.1024241100677</v>
      </c>
      <c r="L103" s="73">
        <f t="shared" si="16"/>
        <v>-49900</v>
      </c>
      <c r="M103" s="71"/>
      <c r="N103" s="71"/>
      <c r="O103" s="71">
        <v>97900</v>
      </c>
      <c r="P103" s="71">
        <f>360000</f>
        <v>360000</v>
      </c>
      <c r="Q103" s="71"/>
      <c r="R103" s="71"/>
      <c r="S103" s="71"/>
      <c r="T103" s="71"/>
      <c r="U103" s="71">
        <f>685300-360000</f>
        <v>325300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67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67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67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67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67">
        <f>1100000+1156000+18212.82</f>
        <v>2274212.82</v>
      </c>
      <c r="I108" s="42">
        <f t="shared" si="14"/>
        <v>98.83584615384615</v>
      </c>
      <c r="J108" s="63">
        <f t="shared" si="15"/>
        <v>98.83584615384615</v>
      </c>
      <c r="L108" s="73">
        <f t="shared" si="16"/>
        <v>-26787.180000000168</v>
      </c>
      <c r="M108" s="71"/>
      <c r="N108" s="71"/>
      <c r="O108" s="71">
        <f>1100000</f>
        <v>1100000</v>
      </c>
      <c r="P108" s="71">
        <f>1201000</f>
        <v>1201000</v>
      </c>
      <c r="Q108" s="71"/>
      <c r="R108" s="71"/>
      <c r="S108" s="71"/>
      <c r="T108" s="71">
        <f>1100000-1100000</f>
        <v>0</v>
      </c>
      <c r="U108" s="71"/>
      <c r="V108" s="71"/>
      <c r="W108" s="71">
        <f>1201000-1201000</f>
        <v>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67">
        <f>33000+26000</f>
        <v>59000</v>
      </c>
      <c r="I109" s="42">
        <f t="shared" si="14"/>
        <v>7.6923076923076925</v>
      </c>
      <c r="J109" s="63">
        <f t="shared" si="15"/>
        <v>9.615384615384617</v>
      </c>
      <c r="L109" s="73">
        <f t="shared" si="16"/>
        <v>-554600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67">
        <f>67000+51000</f>
        <v>118000</v>
      </c>
      <c r="I110" s="42">
        <f t="shared" si="14"/>
        <v>32.15258855585831</v>
      </c>
      <c r="J110" s="63">
        <f t="shared" si="15"/>
        <v>100</v>
      </c>
      <c r="L110" s="73">
        <f t="shared" si="16"/>
        <v>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67">
        <f>21000+23000</f>
        <v>44000</v>
      </c>
      <c r="I111" s="42">
        <f t="shared" si="14"/>
        <v>5.714285714285714</v>
      </c>
      <c r="J111" s="63">
        <f t="shared" si="15"/>
        <v>100</v>
      </c>
      <c r="L111" s="73">
        <f t="shared" si="16"/>
        <v>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67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 t="e">
        <f t="shared" si="15"/>
        <v>#DIV/0!</v>
      </c>
      <c r="L115" s="73">
        <f t="shared" si="16"/>
        <v>0</v>
      </c>
      <c r="M115" s="71"/>
      <c r="N115" s="71"/>
      <c r="O115" s="71">
        <v>900000</v>
      </c>
      <c r="P115" s="71">
        <f>-900000</f>
        <v>-900000</v>
      </c>
      <c r="Q115" s="71"/>
      <c r="R115" s="71">
        <v>573500</v>
      </c>
      <c r="S115" s="71"/>
      <c r="T115" s="71"/>
      <c r="U115" s="71"/>
      <c r="V115" s="71"/>
      <c r="W115" s="71">
        <f>900000</f>
        <v>900000</v>
      </c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67">
        <f>1339880+284982.79+729917+12975.28</f>
        <v>2367755.07</v>
      </c>
      <c r="I116" s="42">
        <f t="shared" si="14"/>
        <v>51.97462704127975</v>
      </c>
      <c r="J116" s="63">
        <f t="shared" si="15"/>
        <v>76.3791958064516</v>
      </c>
      <c r="L116" s="73">
        <f t="shared" si="16"/>
        <v>-732244.9300000002</v>
      </c>
      <c r="M116" s="71"/>
      <c r="N116" s="71"/>
      <c r="O116" s="71">
        <v>2200000</v>
      </c>
      <c r="P116" s="71">
        <f>900000</f>
        <v>900000</v>
      </c>
      <c r="Q116" s="71"/>
      <c r="R116" s="71"/>
      <c r="S116" s="71"/>
      <c r="T116" s="71">
        <f>2355598-900000</f>
        <v>1455598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67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67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67">
        <f>34000+24000</f>
        <v>58000</v>
      </c>
      <c r="I119" s="42">
        <f t="shared" si="14"/>
        <v>15.803814713896458</v>
      </c>
      <c r="J119" s="63">
        <f>H119/(N119+O119+P119)*100</f>
        <v>100</v>
      </c>
      <c r="L119" s="73">
        <f t="shared" si="16"/>
        <v>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67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67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67">
        <f>173000</f>
        <v>173000</v>
      </c>
      <c r="I122" s="44">
        <f t="shared" si="14"/>
        <v>43.25</v>
      </c>
      <c r="J122" s="63">
        <f t="shared" si="15"/>
        <v>86.5</v>
      </c>
      <c r="L122" s="73">
        <f t="shared" si="16"/>
        <v>-27000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67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67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67">
        <f>2873000+2837862.43</f>
        <v>5710862.43</v>
      </c>
      <c r="I125" s="42">
        <f t="shared" si="14"/>
        <v>95.47223080395206</v>
      </c>
      <c r="J125" s="63">
        <f t="shared" si="15"/>
        <v>99.24520905672736</v>
      </c>
      <c r="L125" s="73">
        <f t="shared" si="16"/>
        <v>-43432.90000000037</v>
      </c>
      <c r="M125" s="71"/>
      <c r="N125" s="71"/>
      <c r="O125" s="71">
        <v>3290879</v>
      </c>
      <c r="P125" s="71">
        <f>860036+1603380.33</f>
        <v>2463416.33</v>
      </c>
      <c r="Q125" s="71">
        <f>506858-279453.33</f>
        <v>227404.66999999998</v>
      </c>
      <c r="R125" s="71">
        <f>600000-600000</f>
        <v>0</v>
      </c>
      <c r="S125" s="71">
        <f>600000-600000</f>
        <v>0</v>
      </c>
      <c r="T125" s="71">
        <f>123927-123927</f>
        <v>0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67" t="s">
        <v>192</v>
      </c>
      <c r="I126" s="44" t="e">
        <f t="shared" si="14"/>
        <v>#VALUE!</v>
      </c>
      <c r="J126" s="63" t="e">
        <f t="shared" si="15"/>
        <v>#VALUE!</v>
      </c>
      <c r="L126" s="73" t="e">
        <f t="shared" si="16"/>
        <v>#VALUE!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67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67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67">
        <f>159000+364000+191373.72</f>
        <v>714373.72</v>
      </c>
      <c r="I129" s="42">
        <f t="shared" si="14"/>
        <v>6.1663678895123</v>
      </c>
      <c r="J129" s="63">
        <f t="shared" si="15"/>
        <v>46.34818681059199</v>
      </c>
      <c r="L129" s="73">
        <f t="shared" si="16"/>
        <v>-826945.95</v>
      </c>
      <c r="M129" s="71"/>
      <c r="N129" s="71"/>
      <c r="O129" s="71">
        <f>4423300-3920000+3920000-105000-1100000-313600</f>
        <v>2904700</v>
      </c>
      <c r="P129" s="71">
        <f>-1363380.33</f>
        <v>-1363380.33</v>
      </c>
      <c r="Q129" s="71">
        <f>279453.33</f>
        <v>279453.33</v>
      </c>
      <c r="R129" s="71">
        <f>600000</f>
        <v>600000</v>
      </c>
      <c r="S129" s="71">
        <f>419862+105000+67600+360000</f>
        <v>952462</v>
      </c>
      <c r="T129" s="71">
        <f>2618790+1100000+123927</f>
        <v>3842717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67">
        <f>178841+107000+461139</f>
        <v>746980</v>
      </c>
      <c r="I130" s="42">
        <f t="shared" si="14"/>
        <v>23.343125</v>
      </c>
      <c r="J130" s="63">
        <f t="shared" si="15"/>
        <v>67.90727272727273</v>
      </c>
      <c r="L130" s="73">
        <f t="shared" si="16"/>
        <v>-353020</v>
      </c>
      <c r="M130" s="71"/>
      <c r="N130" s="71"/>
      <c r="O130" s="71">
        <v>1700000</v>
      </c>
      <c r="P130" s="71">
        <f>400000-1000000</f>
        <v>-600000</v>
      </c>
      <c r="Q130" s="71">
        <f>350000</f>
        <v>350000</v>
      </c>
      <c r="R130" s="71">
        <v>400000</v>
      </c>
      <c r="S130" s="71">
        <f>350000+240000</f>
        <v>590000</v>
      </c>
      <c r="T130" s="71"/>
      <c r="U130" s="71">
        <f>760000</f>
        <v>760000</v>
      </c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67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283637+170080</f>
        <v>453717</v>
      </c>
      <c r="I136" s="42">
        <f t="shared" si="14"/>
        <v>62.84168975069252</v>
      </c>
      <c r="J136" s="63">
        <f t="shared" si="15"/>
        <v>97.36416309012876</v>
      </c>
      <c r="L136" s="73">
        <f t="shared" si="16"/>
        <v>-12283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74" t="s">
        <v>48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30662313.160000004</v>
      </c>
      <c r="I140" s="40">
        <f>H140/D140*100</f>
        <v>22.695676718331338</v>
      </c>
      <c r="J140" s="40">
        <f>H140/(N140+O140+P140)*100</f>
        <v>82.82663306075861</v>
      </c>
      <c r="K140" s="37"/>
      <c r="L140" s="73">
        <f>H140-(M140+N140+O140+P140)</f>
        <v>-6357558.379999995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6000000</v>
      </c>
      <c r="Q140" s="47">
        <f t="shared" si="24"/>
        <v>3129200</v>
      </c>
      <c r="R140" s="47">
        <f t="shared" si="24"/>
        <v>2379528.46</v>
      </c>
      <c r="S140" s="47">
        <f t="shared" si="24"/>
        <v>17327595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30662313.160000004</v>
      </c>
      <c r="I141" s="60">
        <f>H141/D141*100</f>
        <v>22.695676718331338</v>
      </c>
      <c r="J141" s="40">
        <f>H141/(N140+O140+P140)*100</f>
        <v>82.82663306075861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62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62">
        <f>3300000</f>
        <v>3300000</v>
      </c>
      <c r="I148" s="50"/>
      <c r="J148" s="63">
        <f t="shared" si="27"/>
        <v>100</v>
      </c>
      <c r="L148" s="73">
        <f t="shared" si="28"/>
        <v>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62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62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62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62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62">
        <f>1460000</f>
        <v>1460000</v>
      </c>
      <c r="I153" s="50">
        <f>H153/G153*100</f>
        <v>29.2</v>
      </c>
      <c r="J153" s="63">
        <f t="shared" si="27"/>
        <v>100</v>
      </c>
      <c r="L153" s="73">
        <f t="shared" si="28"/>
        <v>0</v>
      </c>
      <c r="M153" s="55"/>
      <c r="N153" s="55"/>
      <c r="O153" s="55"/>
      <c r="P153" s="55">
        <f>1460000</f>
        <v>1460000</v>
      </c>
      <c r="Q153" s="55"/>
      <c r="R153" s="55"/>
      <c r="S153" s="55">
        <f>2500000-1460000</f>
        <v>1040000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62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62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62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62">
        <f>16806225.23+2399840.4</f>
        <v>19206065.63</v>
      </c>
      <c r="I157" s="50">
        <f>H157/G157*100</f>
        <v>71.1335764074074</v>
      </c>
      <c r="J157" s="63">
        <f t="shared" si="27"/>
        <v>96.59541130614092</v>
      </c>
      <c r="L157" s="73">
        <f t="shared" si="28"/>
        <v>-676934.370000001</v>
      </c>
      <c r="M157" s="55"/>
      <c r="N157" s="55"/>
      <c r="O157" s="55">
        <f>13500000-17000+700000</f>
        <v>14183000</v>
      </c>
      <c r="P157" s="55">
        <f>3000000+2700000</f>
        <v>5700000</v>
      </c>
      <c r="Q157" s="55"/>
      <c r="R157" s="55"/>
      <c r="S157" s="55">
        <f>6750000-700000-3000000-2700000</f>
        <v>350000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62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2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24"/>
      <c r="I167" s="50"/>
      <c r="J167" s="63">
        <f t="shared" si="27"/>
        <v>0</v>
      </c>
      <c r="L167" s="73">
        <f t="shared" si="28"/>
        <v>-1840000</v>
      </c>
      <c r="M167" s="55"/>
      <c r="N167" s="55"/>
      <c r="O167" s="55"/>
      <c r="P167" s="55">
        <f>3300000-1460000</f>
        <v>1840000</v>
      </c>
      <c r="Q167" s="55">
        <v>1329200</v>
      </c>
      <c r="R167" s="55">
        <v>2379528.46</v>
      </c>
      <c r="S167" s="55">
        <f>330800+1460000</f>
        <v>1790800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24"/>
      <c r="I168" s="50"/>
      <c r="J168" s="63">
        <f t="shared" si="27"/>
        <v>0</v>
      </c>
      <c r="L168" s="73">
        <f t="shared" si="28"/>
        <v>-2644871.54</v>
      </c>
      <c r="M168" s="55"/>
      <c r="N168" s="55"/>
      <c r="O168" s="55">
        <v>5644871.54</v>
      </c>
      <c r="P168" s="55">
        <f>-3000000</f>
        <v>-3000000</v>
      </c>
      <c r="Q168" s="55"/>
      <c r="R168" s="55"/>
      <c r="S168" s="55">
        <f>3355128.46+3000000</f>
        <v>6355128.46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65">
        <f>3875000</f>
        <v>3875000</v>
      </c>
      <c r="I169" s="50">
        <f>H169/G169*100</f>
        <v>48.4375</v>
      </c>
      <c r="J169" s="63">
        <f>H169/(N169+O169+P169)*100</f>
        <v>100</v>
      </c>
      <c r="L169" s="73">
        <f t="shared" si="28"/>
        <v>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61382962.25</v>
      </c>
      <c r="I173" s="40">
        <f>H173/D173*100</f>
        <v>21.525787246545868</v>
      </c>
      <c r="J173" s="46">
        <f>H173/(M173+N173+O173+P173)*100</f>
        <v>76.80162939648487</v>
      </c>
      <c r="L173" s="73">
        <f t="shared" si="28"/>
        <v>-18541074.17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12370936</v>
      </c>
      <c r="Q173" s="55">
        <f t="shared" si="31"/>
        <v>14092513</v>
      </c>
      <c r="R173" s="55">
        <f t="shared" si="31"/>
        <v>15009528.46</v>
      </c>
      <c r="S173" s="55">
        <f t="shared" si="31"/>
        <v>30004807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28613227</v>
      </c>
      <c r="W173" s="55">
        <f t="shared" si="31"/>
        <v>27557121</v>
      </c>
      <c r="X173" s="55">
        <f t="shared" si="31"/>
        <v>29898290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2017-04-20T13:33:50Z</dcterms:modified>
  <cp:category/>
  <cp:version/>
  <cp:contentType/>
  <cp:contentStatus/>
</cp:coreProperties>
</file>